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ropbox\КИТЁНОК\ОБУЧЕНИЕ\0 курс Легендарная УО\Задания\"/>
    </mc:Choice>
  </mc:AlternateContent>
  <bookViews>
    <workbookView xWindow="0" yWindow="0" windowWidth="28800" windowHeight="12330"/>
  </bookViews>
  <sheets>
    <sheet name="Расчёт" sheetId="1" r:id="rId1"/>
    <sheet name="Штат специалистов" sheetId="2" r:id="rId2"/>
  </sheets>
  <calcPr calcId="162913"/>
</workbook>
</file>

<file path=xl/calcChain.xml><?xml version="1.0" encoding="utf-8"?>
<calcChain xmlns="http://schemas.openxmlformats.org/spreadsheetml/2006/main">
  <c r="H4" i="2" l="1"/>
  <c r="H3" i="2"/>
  <c r="H2" i="2"/>
  <c r="I25" i="1"/>
  <c r="I30" i="1" s="1"/>
  <c r="I35" i="1" s="1"/>
  <c r="I24" i="1"/>
  <c r="I29" i="1" s="1"/>
  <c r="I34" i="1" s="1"/>
  <c r="I23" i="1"/>
  <c r="I28" i="1" s="1"/>
  <c r="I33" i="1" s="1"/>
  <c r="D20" i="1"/>
  <c r="D19" i="1"/>
  <c r="D18" i="1"/>
  <c r="D21" i="1" s="1"/>
  <c r="B11" i="1"/>
  <c r="D5" i="1"/>
  <c r="B5" i="1"/>
  <c r="E5" i="1" s="1"/>
  <c r="D4" i="1"/>
  <c r="B4" i="1"/>
  <c r="D3" i="1"/>
  <c r="B3" i="1"/>
  <c r="E2" i="1"/>
  <c r="D2" i="1"/>
  <c r="B2" i="1"/>
  <c r="C18" i="1" l="1"/>
  <c r="E18" i="1" s="1"/>
  <c r="E4" i="1"/>
  <c r="C20" i="1" s="1"/>
  <c r="E3" i="1"/>
  <c r="C19" i="1" s="1"/>
  <c r="F18" i="1" l="1"/>
  <c r="E20" i="1"/>
  <c r="D4" i="2" s="1"/>
  <c r="E4" i="2" s="1"/>
  <c r="F4" i="2" s="1"/>
  <c r="I4" i="2" s="1"/>
  <c r="F20" i="1"/>
  <c r="D2" i="2"/>
  <c r="E2" i="2" s="1"/>
  <c r="E19" i="1"/>
  <c r="D3" i="2" s="1"/>
  <c r="E3" i="2" s="1"/>
  <c r="F3" i="2" s="1"/>
  <c r="I3" i="2" s="1"/>
  <c r="F19" i="1"/>
  <c r="F21" i="1" l="1"/>
  <c r="E21" i="1"/>
  <c r="D5" i="2" s="1"/>
  <c r="E5" i="2" s="1"/>
  <c r="F5" i="2" s="1"/>
  <c r="F2" i="2"/>
  <c r="I2" i="2" s="1"/>
  <c r="B7" i="1" l="1"/>
  <c r="E6" i="2"/>
  <c r="B6" i="1" s="1"/>
  <c r="B24" i="1"/>
  <c r="B25" i="1"/>
  <c r="B14" i="1" l="1"/>
  <c r="B8" i="1"/>
  <c r="B29" i="1" s="1"/>
  <c r="B28" i="1"/>
</calcChain>
</file>

<file path=xl/sharedStrings.xml><?xml version="1.0" encoding="utf-8"?>
<sst xmlns="http://schemas.openxmlformats.org/spreadsheetml/2006/main" count="76" uniqueCount="67">
  <si>
    <t>Должность</t>
  </si>
  <si>
    <t>Наименование параметра</t>
  </si>
  <si>
    <t>Кол-во</t>
  </si>
  <si>
    <t>Оклад</t>
  </si>
  <si>
    <t>Бонус</t>
  </si>
  <si>
    <t>Общие затраты</t>
  </si>
  <si>
    <t>Стоимость часа работы</t>
  </si>
  <si>
    <t>Средний чек</t>
  </si>
  <si>
    <t>Прочие расходы на доп</t>
  </si>
  <si>
    <t>Прибыль с услуги</t>
  </si>
  <si>
    <t>Затраты на допуслугу, человекочасов</t>
  </si>
  <si>
    <t>Сантехник</t>
  </si>
  <si>
    <t>Количество</t>
  </si>
  <si>
    <t>Загрузка по УК</t>
  </si>
  <si>
    <t>Свободная для доп</t>
  </si>
  <si>
    <t>Загрузка в часах, общ</t>
  </si>
  <si>
    <t>Название константы</t>
  </si>
  <si>
    <t>Значение константы</t>
  </si>
  <si>
    <t>Количество сантехников</t>
  </si>
  <si>
    <t>Средняя площадь квартиры</t>
  </si>
  <si>
    <t>Количество электриков</t>
  </si>
  <si>
    <t>Количество лицевых счетов</t>
  </si>
  <si>
    <t>Количество уборщиков</t>
  </si>
  <si>
    <t>Электрик</t>
  </si>
  <si>
    <t>Площадь МКД в управлении</t>
  </si>
  <si>
    <t>Количество диспетчеров</t>
  </si>
  <si>
    <t>Домов в управлении</t>
  </si>
  <si>
    <t>Фонд оплаты труда (месяц)</t>
  </si>
  <si>
    <t>Уборщик</t>
  </si>
  <si>
    <t>Налоговая ставка</t>
  </si>
  <si>
    <t>Окупаемость в счёт работ УК</t>
  </si>
  <si>
    <t>Диспетчер</t>
  </si>
  <si>
    <t>Рабочих часов в текущем месяце</t>
  </si>
  <si>
    <t>Необходимая окупаемость допов</t>
  </si>
  <si>
    <t>Домов в городе</t>
  </si>
  <si>
    <t>Площадь домов в городе</t>
  </si>
  <si>
    <t>Расходы на маркетинг допов, 1 дом</t>
  </si>
  <si>
    <t>Вероятность обращения в УК</t>
  </si>
  <si>
    <t>Расходы на маркетинг допов, итого</t>
  </si>
  <si>
    <t>Вероятность поиска в Яндекс</t>
  </si>
  <si>
    <t>Конверсия в клиента у диспетчера</t>
  </si>
  <si>
    <t>Эффективность без учёта допуслуг</t>
  </si>
  <si>
    <t>Окупаемость зарплаты работами УК</t>
  </si>
  <si>
    <t>Прогноз без увеличения штата</t>
  </si>
  <si>
    <t>Количество, max</t>
  </si>
  <si>
    <t>Количество, реал</t>
  </si>
  <si>
    <t>Доход, max</t>
  </si>
  <si>
    <t>Доход, реал</t>
  </si>
  <si>
    <t>Прочие расходы на услуги</t>
  </si>
  <si>
    <t>Спрос на услуги в регионе https://wordstat.yandex.ru/</t>
  </si>
  <si>
    <t>Услуги сантехников</t>
  </si>
  <si>
    <t>сантехник</t>
  </si>
  <si>
    <t>Услуги электриков</t>
  </si>
  <si>
    <t>электрик</t>
  </si>
  <si>
    <t>Услуги клининга</t>
  </si>
  <si>
    <t>клининг</t>
  </si>
  <si>
    <t>Итого</t>
  </si>
  <si>
    <t>Ожидаемая потребность по городу, в месяц</t>
  </si>
  <si>
    <t>Валовая прибыль с услуг</t>
  </si>
  <si>
    <t>Ожидаемая прибыль, max</t>
  </si>
  <si>
    <t>Ожидаемая прибыль, реал</t>
  </si>
  <si>
    <t>Эффективность с допуслугами</t>
  </si>
  <si>
    <t>После вычета всех расходов</t>
  </si>
  <si>
    <t>Ожидаемая потребность в упр.МКД, в месяц</t>
  </si>
  <si>
    <t>Ожидаемое, max</t>
  </si>
  <si>
    <t>Ожидаемое, real</t>
  </si>
  <si>
    <t>Прогноз нарядов на работы (макс, вероятность обращения в УК - 100%)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</si>
</sst>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#,##0.00\ [$ ₽]"/>
    <numFmt numFmtId="165" formatCode="#,##0.00_ \ч"/>
    <numFmt numFmtId="166" formatCode="#,##0.00_ \м\²;"/>
    <numFmt numFmtId="167" formatCode="#,##0_ \м\²;"/>
    <numFmt numFmtId="168" formatCode="#,##0[$ ₽]"/>
  </numFmts>
  <fonts count="6" x14ac:knownFonts="1">
    <font>
      <sz val="10"/>
      <color rgb="FF000000"/>
      <name val="Arial"/>
    </font>
    <font>
      <b/>
      <sz val="10"/>
      <color theme="1"/>
      <name val="Arial"/>
    </font>
    <font>
      <sz val="10"/>
      <color theme="1"/>
      <name val="Arial"/>
    </font>
    <font>
      <sz val="10"/>
      <color rgb="FFFFFFFF"/>
      <name val="Arial"/>
    </font>
    <font>
      <b/>
      <sz val="10"/>
      <color rgb="FFFFFFFF"/>
      <name val="Arial"/>
    </font>
    <font>
      <b/>
      <sz val="10"/>
      <color rgb="FF000000"/>
      <name val="Arial"/>
    </font>
  </fonts>
  <fills count="5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980000"/>
        <bgColor rgb="FF980000"/>
      </patternFill>
    </fill>
    <fill>
      <patternFill patternType="solid">
        <fgColor rgb="FFFFFFFF"/>
        <bgColor rgb="FFFFFFFF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4">
    <xf numFmtId="0" fontId="0" fillId="0" borderId="0" xfId="0" applyFont="1" applyAlignment="1"/>
    <xf numFmtId="0" fontId="1" fillId="0" borderId="0" xfId="0" applyFont="1" applyAlignment="1"/>
    <xf numFmtId="0" fontId="1" fillId="0" borderId="0" xfId="0" applyFont="1" applyAlignment="1">
      <alignment horizontal="right"/>
    </xf>
    <xf numFmtId="0" fontId="1" fillId="0" borderId="0" xfId="0" applyFont="1"/>
    <xf numFmtId="0" fontId="2" fillId="0" borderId="0" xfId="0" applyFont="1" applyAlignment="1"/>
    <xf numFmtId="1" fontId="2" fillId="0" borderId="0" xfId="0" applyNumberFormat="1" applyFont="1" applyAlignment="1"/>
    <xf numFmtId="164" fontId="2" fillId="0" borderId="0" xfId="0" applyNumberFormat="1" applyFont="1" applyAlignment="1">
      <alignment horizontal="right"/>
    </xf>
    <xf numFmtId="0" fontId="1" fillId="0" borderId="0" xfId="0" applyFont="1" applyAlignment="1">
      <alignment horizontal="left"/>
    </xf>
    <xf numFmtId="0" fontId="2" fillId="2" borderId="0" xfId="0" applyFont="1" applyFill="1"/>
    <xf numFmtId="164" fontId="3" fillId="3" borderId="0" xfId="0" applyNumberFormat="1" applyFont="1" applyFill="1" applyAlignment="1">
      <alignment horizontal="right"/>
    </xf>
    <xf numFmtId="1" fontId="3" fillId="3" borderId="0" xfId="0" applyNumberFormat="1" applyFont="1" applyFill="1" applyAlignment="1"/>
    <xf numFmtId="9" fontId="2" fillId="0" borderId="0" xfId="0" applyNumberFormat="1" applyFont="1" applyAlignment="1"/>
    <xf numFmtId="9" fontId="3" fillId="3" borderId="0" xfId="0" applyNumberFormat="1" applyFont="1" applyFill="1"/>
    <xf numFmtId="165" fontId="3" fillId="3" borderId="0" xfId="0" applyNumberFormat="1" applyFont="1" applyFill="1" applyAlignment="1"/>
    <xf numFmtId="166" fontId="2" fillId="0" borderId="0" xfId="0" applyNumberFormat="1" applyFont="1" applyAlignment="1"/>
    <xf numFmtId="164" fontId="3" fillId="3" borderId="0" xfId="0" applyNumberFormat="1" applyFont="1" applyFill="1" applyAlignment="1">
      <alignment horizontal="right"/>
    </xf>
    <xf numFmtId="0" fontId="2" fillId="0" borderId="0" xfId="0" applyFont="1" applyAlignment="1">
      <alignment horizontal="right"/>
    </xf>
    <xf numFmtId="167" fontId="2" fillId="0" borderId="0" xfId="0" applyNumberFormat="1" applyFont="1" applyAlignment="1"/>
    <xf numFmtId="168" fontId="3" fillId="3" borderId="0" xfId="0" applyNumberFormat="1" applyFont="1" applyFill="1" applyAlignment="1"/>
    <xf numFmtId="0" fontId="2" fillId="0" borderId="0" xfId="0" applyFont="1" applyAlignment="1"/>
    <xf numFmtId="168" fontId="2" fillId="0" borderId="0" xfId="0" applyNumberFormat="1" applyFont="1" applyAlignment="1">
      <alignment horizontal="right"/>
    </xf>
    <xf numFmtId="168" fontId="2" fillId="0" borderId="0" xfId="0" applyNumberFormat="1" applyFont="1" applyAlignment="1">
      <alignment horizontal="right"/>
    </xf>
    <xf numFmtId="164" fontId="3" fillId="3" borderId="0" xfId="0" applyNumberFormat="1" applyFont="1" applyFill="1"/>
    <xf numFmtId="0" fontId="2" fillId="0" borderId="0" xfId="0" applyFont="1" applyAlignment="1"/>
    <xf numFmtId="164" fontId="2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164" fontId="3" fillId="0" borderId="0" xfId="0" applyNumberFormat="1" applyFont="1" applyAlignment="1">
      <alignment horizontal="right"/>
    </xf>
    <xf numFmtId="164" fontId="2" fillId="0" borderId="0" xfId="0" applyNumberFormat="1" applyFont="1" applyAlignment="1"/>
    <xf numFmtId="1" fontId="3" fillId="3" borderId="0" xfId="0" applyNumberFormat="1" applyFont="1" applyFill="1"/>
    <xf numFmtId="164" fontId="4" fillId="3" borderId="0" xfId="0" applyNumberFormat="1" applyFont="1" applyFill="1"/>
    <xf numFmtId="49" fontId="3" fillId="3" borderId="0" xfId="0" applyNumberFormat="1" applyFont="1" applyFill="1" applyAlignment="1">
      <alignment horizontal="right"/>
    </xf>
    <xf numFmtId="0" fontId="3" fillId="4" borderId="0" xfId="0" applyFont="1" applyFill="1"/>
    <xf numFmtId="0" fontId="5" fillId="4" borderId="0" xfId="0" applyFont="1" applyFill="1" applyAlignment="1"/>
    <xf numFmtId="1" fontId="3" fillId="3" borderId="0" xfId="0" applyNumberFormat="1" applyFont="1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M35"/>
  <sheetViews>
    <sheetView tabSelected="1" workbookViewId="0"/>
  </sheetViews>
  <sheetFormatPr defaultColWidth="14.42578125" defaultRowHeight="15.75" customHeight="1" x14ac:dyDescent="0.2"/>
  <cols>
    <col min="1" max="1" width="35.140625" customWidth="1"/>
    <col min="2" max="2" width="16.7109375" customWidth="1"/>
    <col min="3" max="3" width="18.42578125" customWidth="1"/>
    <col min="4" max="4" width="19.5703125" customWidth="1"/>
    <col min="5" max="5" width="13.7109375" customWidth="1"/>
    <col min="6" max="6" width="26.85546875" customWidth="1"/>
    <col min="7" max="7" width="3.7109375" customWidth="1"/>
    <col min="8" max="8" width="30.5703125" customWidth="1"/>
    <col min="9" max="9" width="21.7109375" customWidth="1"/>
    <col min="10" max="10" width="30.140625" customWidth="1"/>
    <col min="11" max="11" width="10.42578125" customWidth="1"/>
    <col min="12" max="12" width="34" customWidth="1"/>
    <col min="13" max="13" width="11" customWidth="1"/>
  </cols>
  <sheetData>
    <row r="1" spans="1:13" ht="15.75" customHeight="1" x14ac:dyDescent="0.2">
      <c r="A1" s="1" t="s">
        <v>1</v>
      </c>
      <c r="B1" s="2" t="s">
        <v>12</v>
      </c>
      <c r="C1" s="2" t="s">
        <v>13</v>
      </c>
      <c r="D1" s="1" t="s">
        <v>14</v>
      </c>
      <c r="E1" s="7" t="s">
        <v>15</v>
      </c>
      <c r="F1" s="2"/>
      <c r="G1" s="8"/>
      <c r="H1" s="1" t="s">
        <v>16</v>
      </c>
      <c r="I1" s="2" t="s">
        <v>17</v>
      </c>
    </row>
    <row r="2" spans="1:13" ht="15.75" customHeight="1" x14ac:dyDescent="0.2">
      <c r="A2" s="4" t="s">
        <v>18</v>
      </c>
      <c r="B2" s="10">
        <f>'Штат специалистов'!B2</f>
        <v>1</v>
      </c>
      <c r="C2" s="11">
        <v>0.5</v>
      </c>
      <c r="D2" s="12">
        <f t="shared" ref="D2:D5" si="0">100%-C2</f>
        <v>0.5</v>
      </c>
      <c r="E2" s="13">
        <f t="shared" ref="E2:E5" si="1">$I$7*C2*B2</f>
        <v>75</v>
      </c>
      <c r="F2" s="13"/>
      <c r="G2" s="8"/>
      <c r="H2" s="4" t="s">
        <v>19</v>
      </c>
      <c r="I2" s="14">
        <v>43.5</v>
      </c>
    </row>
    <row r="3" spans="1:13" ht="15.75" customHeight="1" x14ac:dyDescent="0.2">
      <c r="A3" s="4" t="s">
        <v>20</v>
      </c>
      <c r="B3" s="10">
        <f>'Штат специалистов'!B3</f>
        <v>1</v>
      </c>
      <c r="C3" s="11">
        <v>0.5</v>
      </c>
      <c r="D3" s="12">
        <f t="shared" si="0"/>
        <v>0.5</v>
      </c>
      <c r="E3" s="13">
        <f t="shared" si="1"/>
        <v>75</v>
      </c>
      <c r="F3" s="13"/>
      <c r="G3" s="8"/>
      <c r="H3" s="4" t="s">
        <v>21</v>
      </c>
      <c r="I3" s="4">
        <v>1538</v>
      </c>
    </row>
    <row r="4" spans="1:13" ht="15.75" customHeight="1" x14ac:dyDescent="0.2">
      <c r="A4" s="4" t="s">
        <v>22</v>
      </c>
      <c r="B4" s="10">
        <f>'Штат специалистов'!B4</f>
        <v>1</v>
      </c>
      <c r="C4" s="11">
        <v>0.5</v>
      </c>
      <c r="D4" s="12">
        <f t="shared" si="0"/>
        <v>0.5</v>
      </c>
      <c r="E4" s="13">
        <f t="shared" si="1"/>
        <v>75</v>
      </c>
      <c r="F4" s="13"/>
      <c r="G4" s="8"/>
      <c r="H4" s="4" t="s">
        <v>24</v>
      </c>
      <c r="I4" s="17">
        <v>100000</v>
      </c>
    </row>
    <row r="5" spans="1:13" ht="15.75" customHeight="1" x14ac:dyDescent="0.2">
      <c r="A5" s="4" t="s">
        <v>25</v>
      </c>
      <c r="B5" s="10">
        <f>'Штат специалистов'!B5</f>
        <v>1</v>
      </c>
      <c r="C5" s="11">
        <v>1</v>
      </c>
      <c r="D5" s="12">
        <f t="shared" si="0"/>
        <v>0</v>
      </c>
      <c r="E5" s="13">
        <f t="shared" si="1"/>
        <v>150</v>
      </c>
      <c r="F5" s="13"/>
      <c r="G5" s="8"/>
      <c r="H5" s="4" t="s">
        <v>26</v>
      </c>
      <c r="I5" s="4">
        <v>20</v>
      </c>
    </row>
    <row r="6" spans="1:13" ht="15.75" customHeight="1" x14ac:dyDescent="0.2">
      <c r="A6" s="4" t="s">
        <v>27</v>
      </c>
      <c r="B6" s="18">
        <f>'Штат специалистов'!E6</f>
        <v>80838.8</v>
      </c>
      <c r="G6" s="8"/>
      <c r="H6" s="4" t="s">
        <v>29</v>
      </c>
      <c r="I6" s="11">
        <v>0.06</v>
      </c>
      <c r="J6" s="19"/>
      <c r="K6" s="20"/>
      <c r="L6" s="19"/>
      <c r="M6" s="21"/>
    </row>
    <row r="7" spans="1:13" ht="15.75" customHeight="1" x14ac:dyDescent="0.2">
      <c r="A7" s="4" t="s">
        <v>30</v>
      </c>
      <c r="B7" s="22">
        <f>C2*'Штат специалистов'!E2+C3*'Штат специалистов'!E3+C4*'Штат специалистов'!E4+C5*'Штат специалистов'!E5</f>
        <v>56477.399999999994</v>
      </c>
      <c r="G7" s="8"/>
      <c r="H7" s="4" t="s">
        <v>32</v>
      </c>
      <c r="I7" s="4">
        <v>150</v>
      </c>
      <c r="J7" s="23"/>
      <c r="K7" s="21"/>
      <c r="L7" s="23"/>
      <c r="M7" s="21"/>
    </row>
    <row r="8" spans="1:13" ht="15.75" customHeight="1" x14ac:dyDescent="0.2">
      <c r="A8" s="4" t="s">
        <v>33</v>
      </c>
      <c r="B8" s="22">
        <f>B6-B7+B11</f>
        <v>34361.400000000009</v>
      </c>
      <c r="G8" s="8"/>
      <c r="H8" s="4" t="s">
        <v>34</v>
      </c>
      <c r="I8" s="4">
        <v>2661</v>
      </c>
      <c r="J8" s="23"/>
      <c r="K8" s="26"/>
      <c r="L8" s="23"/>
      <c r="M8" s="26"/>
    </row>
    <row r="9" spans="1:13" ht="15.75" customHeight="1" x14ac:dyDescent="0.2">
      <c r="G9" s="8"/>
      <c r="H9" s="4" t="s">
        <v>35</v>
      </c>
      <c r="I9" s="17">
        <v>7613403</v>
      </c>
    </row>
    <row r="10" spans="1:13" ht="15.75" customHeight="1" x14ac:dyDescent="0.2">
      <c r="A10" s="4" t="s">
        <v>36</v>
      </c>
      <c r="B10" s="27">
        <v>500</v>
      </c>
      <c r="G10" s="8"/>
      <c r="H10" s="4" t="s">
        <v>37</v>
      </c>
      <c r="I10" s="11">
        <v>0.5</v>
      </c>
    </row>
    <row r="11" spans="1:13" ht="15.75" customHeight="1" x14ac:dyDescent="0.2">
      <c r="A11" s="4" t="s">
        <v>38</v>
      </c>
      <c r="B11" s="22">
        <f>I5*B10</f>
        <v>10000</v>
      </c>
      <c r="G11" s="8"/>
      <c r="H11" s="4" t="s">
        <v>39</v>
      </c>
      <c r="I11" s="11">
        <v>0.2</v>
      </c>
    </row>
    <row r="12" spans="1:13" ht="15.75" customHeight="1" x14ac:dyDescent="0.2">
      <c r="G12" s="8"/>
      <c r="H12" s="4" t="s">
        <v>40</v>
      </c>
      <c r="I12" s="11">
        <v>0.75</v>
      </c>
    </row>
    <row r="13" spans="1:13" ht="15.75" customHeight="1" x14ac:dyDescent="0.2">
      <c r="A13" s="1" t="s">
        <v>41</v>
      </c>
      <c r="G13" s="8"/>
    </row>
    <row r="14" spans="1:13" ht="15.75" customHeight="1" x14ac:dyDescent="0.2">
      <c r="A14" s="4" t="s">
        <v>42</v>
      </c>
      <c r="B14" s="22">
        <f>B7-B6</f>
        <v>-24361.400000000009</v>
      </c>
      <c r="G14" s="8"/>
    </row>
    <row r="15" spans="1:13" ht="15.75" customHeight="1" x14ac:dyDescent="0.2">
      <c r="G15" s="8"/>
    </row>
    <row r="16" spans="1:13" ht="15.75" customHeight="1" x14ac:dyDescent="0.2">
      <c r="A16" s="8"/>
      <c r="B16" s="8"/>
      <c r="C16" s="8"/>
      <c r="D16" s="8"/>
      <c r="E16" s="8"/>
      <c r="F16" s="8"/>
      <c r="G16" s="8"/>
      <c r="H16" s="8"/>
      <c r="I16" s="8"/>
    </row>
    <row r="17" spans="1:9" ht="15.75" customHeight="1" x14ac:dyDescent="0.2">
      <c r="A17" s="1" t="s">
        <v>43</v>
      </c>
      <c r="B17" s="2" t="s">
        <v>44</v>
      </c>
      <c r="C17" s="2" t="s">
        <v>45</v>
      </c>
      <c r="D17" s="2" t="s">
        <v>46</v>
      </c>
      <c r="E17" s="2" t="s">
        <v>47</v>
      </c>
      <c r="F17" s="2" t="s">
        <v>48</v>
      </c>
      <c r="G17" s="8"/>
      <c r="H17" s="1" t="s">
        <v>49</v>
      </c>
    </row>
    <row r="18" spans="1:9" ht="15.75" customHeight="1" x14ac:dyDescent="0.2">
      <c r="A18" s="4" t="s">
        <v>50</v>
      </c>
      <c r="B18" s="28">
        <v>48</v>
      </c>
      <c r="C18" s="28">
        <f>IF(($I$7*B2-E2)*'Штат специалистов'!J2&gt;B18,B18,IF(($I$7*B2-E2)*'Штат специалистов'!J2&gt;0,($I$7*B2-E2)*'Штат специалистов'!J2,0))</f>
        <v>48</v>
      </c>
      <c r="D18" s="22">
        <f>B18*'Штат специалистов'!G2</f>
        <v>48000</v>
      </c>
      <c r="E18" s="22">
        <f>C18*'Штат специалистов'!G2</f>
        <v>48000</v>
      </c>
      <c r="F18" s="22">
        <f>'Штат специалистов'!H2*C18</f>
        <v>4800</v>
      </c>
      <c r="G18" s="8"/>
      <c r="H18" s="4" t="s">
        <v>51</v>
      </c>
      <c r="I18" s="4">
        <v>1972</v>
      </c>
    </row>
    <row r="19" spans="1:9" ht="15.75" customHeight="1" x14ac:dyDescent="0.2">
      <c r="A19" s="4" t="s">
        <v>52</v>
      </c>
      <c r="B19" s="28">
        <v>38</v>
      </c>
      <c r="C19" s="28">
        <f>IF(($I$7*B3-E3)*'Штат специалистов'!J3&gt;B19,B19,IF(($I$7*B3-E3)*'Штат специалистов'!J3&gt;0,($I$7*B3-E3)*'Штат специалистов'!J3,0))</f>
        <v>38</v>
      </c>
      <c r="D19" s="22">
        <f>B19*'Штат специалистов'!G3</f>
        <v>38000</v>
      </c>
      <c r="E19" s="22">
        <f>C19*'Штат специалистов'!G3</f>
        <v>38000</v>
      </c>
      <c r="F19" s="22">
        <f>'Штат специалистов'!H3*C19</f>
        <v>3800</v>
      </c>
      <c r="G19" s="8"/>
      <c r="H19" s="4" t="s">
        <v>53</v>
      </c>
      <c r="I19" s="4">
        <v>1565</v>
      </c>
    </row>
    <row r="20" spans="1:9" ht="15.75" customHeight="1" x14ac:dyDescent="0.2">
      <c r="A20" s="4" t="s">
        <v>54</v>
      </c>
      <c r="B20" s="28">
        <v>6</v>
      </c>
      <c r="C20" s="28">
        <f>IF(($I$7*B4-E4)*'Штат специалистов'!J4&gt;B20,B20,IF(($I$7*B4-E4)*'Штат специалистов'!J4&gt;0,($I$7*B4-E4)*'Штат специалистов'!J4,0))</f>
        <v>6</v>
      </c>
      <c r="D20" s="22">
        <f>B20*'Штат специалистов'!G4</f>
        <v>12000</v>
      </c>
      <c r="E20" s="22">
        <f>C20*'Штат специалистов'!G4</f>
        <v>12000</v>
      </c>
      <c r="F20" s="22">
        <f>'Штат специалистов'!H4*C20</f>
        <v>1200</v>
      </c>
      <c r="G20" s="8"/>
      <c r="H20" s="4" t="s">
        <v>55</v>
      </c>
      <c r="I20" s="4">
        <v>256</v>
      </c>
    </row>
    <row r="21" spans="1:9" ht="15.75" customHeight="1" x14ac:dyDescent="0.2">
      <c r="A21" s="1" t="s">
        <v>56</v>
      </c>
      <c r="B21" s="3"/>
      <c r="C21" s="3"/>
      <c r="D21" s="29">
        <f t="shared" ref="D21:F21" si="2">SUM(D18:D20)</f>
        <v>98000</v>
      </c>
      <c r="E21" s="29">
        <f t="shared" si="2"/>
        <v>98000</v>
      </c>
      <c r="F21" s="29">
        <f t="shared" si="2"/>
        <v>9800</v>
      </c>
      <c r="G21" s="8"/>
    </row>
    <row r="22" spans="1:9" ht="15.75" customHeight="1" x14ac:dyDescent="0.2">
      <c r="G22" s="8"/>
      <c r="H22" s="1" t="s">
        <v>57</v>
      </c>
    </row>
    <row r="23" spans="1:9" ht="15.75" customHeight="1" x14ac:dyDescent="0.2">
      <c r="A23" s="1" t="s">
        <v>58</v>
      </c>
      <c r="G23" s="8"/>
      <c r="H23" s="4" t="s">
        <v>51</v>
      </c>
      <c r="I23" s="30">
        <f t="shared" ref="I23:I25" si="3">ROUND(I18*(100%/$I$11),0)</f>
        <v>9860</v>
      </c>
    </row>
    <row r="24" spans="1:9" ht="15.75" customHeight="1" x14ac:dyDescent="0.2">
      <c r="A24" s="4" t="s">
        <v>59</v>
      </c>
      <c r="B24" s="22">
        <f>B18*'Штат специалистов'!I2+B19*'Штат специалистов'!I3+B20*'Штат специалистов'!I4</f>
        <v>73434.255999999994</v>
      </c>
      <c r="G24" s="8"/>
      <c r="H24" s="4" t="s">
        <v>53</v>
      </c>
      <c r="I24" s="30">
        <f t="shared" si="3"/>
        <v>7825</v>
      </c>
    </row>
    <row r="25" spans="1:9" ht="15.75" customHeight="1" x14ac:dyDescent="0.2">
      <c r="A25" s="4" t="s">
        <v>60</v>
      </c>
      <c r="B25" s="22">
        <f>C18*'Штат специалистов'!I2+C19*'Штат специалистов'!I3+C20*'Штат специалистов'!I4</f>
        <v>73434.255999999994</v>
      </c>
      <c r="G25" s="8"/>
      <c r="H25" s="4" t="s">
        <v>55</v>
      </c>
      <c r="I25" s="30">
        <f t="shared" si="3"/>
        <v>1280</v>
      </c>
    </row>
    <row r="26" spans="1:9" ht="15.75" customHeight="1" x14ac:dyDescent="0.2">
      <c r="B26" s="31"/>
      <c r="G26" s="8"/>
    </row>
    <row r="27" spans="1:9" ht="15.75" customHeight="1" x14ac:dyDescent="0.2">
      <c r="A27" s="1" t="s">
        <v>61</v>
      </c>
      <c r="B27" s="32" t="s">
        <v>62</v>
      </c>
      <c r="G27" s="8"/>
      <c r="H27" s="1" t="s">
        <v>63</v>
      </c>
    </row>
    <row r="28" spans="1:9" ht="15.75" customHeight="1" x14ac:dyDescent="0.2">
      <c r="A28" s="4" t="s">
        <v>64</v>
      </c>
      <c r="B28" s="22">
        <f>B24-B8</f>
        <v>39072.855999999985</v>
      </c>
      <c r="G28" s="8"/>
      <c r="H28" s="4" t="s">
        <v>51</v>
      </c>
      <c r="I28" s="33">
        <f t="shared" ref="I28:I30" si="4">I23*$I$4/$I$9</f>
        <v>129.50844714249331</v>
      </c>
    </row>
    <row r="29" spans="1:9" ht="15.75" customHeight="1" x14ac:dyDescent="0.2">
      <c r="A29" s="4" t="s">
        <v>65</v>
      </c>
      <c r="B29" s="22">
        <f>B25-B8</f>
        <v>39072.855999999985</v>
      </c>
      <c r="G29" s="8"/>
      <c r="H29" s="4" t="s">
        <v>53</v>
      </c>
      <c r="I29" s="33">
        <f t="shared" si="4"/>
        <v>102.77926966430124</v>
      </c>
    </row>
    <row r="30" spans="1:9" ht="15.75" customHeight="1" x14ac:dyDescent="0.2">
      <c r="G30" s="8"/>
      <c r="H30" s="4" t="s">
        <v>55</v>
      </c>
      <c r="I30" s="33">
        <f t="shared" si="4"/>
        <v>16.812455612818603</v>
      </c>
    </row>
    <row r="31" spans="1:9" ht="15.75" customHeight="1" x14ac:dyDescent="0.2">
      <c r="G31" s="8"/>
    </row>
    <row r="32" spans="1:9" ht="15.75" customHeight="1" x14ac:dyDescent="0.2">
      <c r="G32" s="8"/>
      <c r="H32" s="1" t="s">
        <v>66</v>
      </c>
    </row>
    <row r="33" spans="7:9" ht="15.75" customHeight="1" x14ac:dyDescent="0.2">
      <c r="G33" s="8"/>
      <c r="H33" s="4" t="s">
        <v>51</v>
      </c>
      <c r="I33" s="33">
        <f t="shared" ref="I33:I35" si="5">I28*$I$12</f>
        <v>97.131335356869982</v>
      </c>
    </row>
    <row r="34" spans="7:9" ht="15.75" customHeight="1" x14ac:dyDescent="0.2">
      <c r="G34" s="8"/>
      <c r="H34" s="4" t="s">
        <v>53</v>
      </c>
      <c r="I34" s="33">
        <f t="shared" si="5"/>
        <v>77.084452248225929</v>
      </c>
    </row>
    <row r="35" spans="7:9" ht="15.75" customHeight="1" x14ac:dyDescent="0.2">
      <c r="G35" s="8"/>
      <c r="H35" s="4" t="s">
        <v>55</v>
      </c>
      <c r="I35" s="33">
        <f t="shared" si="5"/>
        <v>12.609341709613952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B6"/>
  <sheetViews>
    <sheetView workbookViewId="0"/>
  </sheetViews>
  <sheetFormatPr defaultColWidth="14.42578125" defaultRowHeight="15.75" customHeight="1" x14ac:dyDescent="0.2"/>
  <cols>
    <col min="1" max="1" width="22.42578125" customWidth="1"/>
    <col min="4" max="4" width="13.28515625" customWidth="1"/>
    <col min="5" max="5" width="15.42578125" customWidth="1"/>
    <col min="6" max="6" width="23.28515625" customWidth="1"/>
    <col min="7" max="7" width="12.85546875" customWidth="1"/>
    <col min="8" max="8" width="23.140625" customWidth="1"/>
    <col min="9" max="9" width="19.28515625" customWidth="1"/>
    <col min="10" max="10" width="38" customWidth="1"/>
  </cols>
  <sheetData>
    <row r="1" spans="1:28" ht="15.75" customHeight="1" x14ac:dyDescent="0.2">
      <c r="A1" s="1" t="s">
        <v>0</v>
      </c>
      <c r="B1" s="2" t="s">
        <v>2</v>
      </c>
      <c r="C1" s="2" t="s">
        <v>3</v>
      </c>
      <c r="D1" s="2" t="s">
        <v>4</v>
      </c>
      <c r="E1" s="2" t="s">
        <v>5</v>
      </c>
      <c r="F1" s="2" t="s">
        <v>6</v>
      </c>
      <c r="G1" s="2" t="s">
        <v>7</v>
      </c>
      <c r="H1" s="2" t="s">
        <v>8</v>
      </c>
      <c r="I1" s="2" t="s">
        <v>9</v>
      </c>
      <c r="J1" s="2" t="s">
        <v>10</v>
      </c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</row>
    <row r="2" spans="1:28" ht="15.75" customHeight="1" x14ac:dyDescent="0.2">
      <c r="A2" s="4" t="s">
        <v>11</v>
      </c>
      <c r="B2" s="5">
        <v>1</v>
      </c>
      <c r="C2" s="6">
        <v>25000</v>
      </c>
      <c r="D2" s="9">
        <f>Расчёт!E18*10%</f>
        <v>4800</v>
      </c>
      <c r="E2" s="9">
        <f t="shared" ref="E2:E5" si="0">(C2+D2)*1.4*B2</f>
        <v>41720</v>
      </c>
      <c r="F2" s="9">
        <f>IF(E2&gt;0,E2/(Расчёт!$I$7*B2),0)</f>
        <v>278.13333333333333</v>
      </c>
      <c r="G2" s="6">
        <v>1000</v>
      </c>
      <c r="H2" s="9">
        <f t="shared" ref="H2:H4" si="1">G2*0.1</f>
        <v>100</v>
      </c>
      <c r="I2" s="15">
        <f t="shared" ref="I2:I4" si="2">G2-F2-H2</f>
        <v>621.86666666666667</v>
      </c>
      <c r="J2" s="16">
        <v>1</v>
      </c>
    </row>
    <row r="3" spans="1:28" ht="15.75" customHeight="1" x14ac:dyDescent="0.2">
      <c r="A3" s="4" t="s">
        <v>23</v>
      </c>
      <c r="B3" s="5">
        <v>1</v>
      </c>
      <c r="C3" s="6">
        <v>1</v>
      </c>
      <c r="D3" s="9">
        <f>Расчёт!E19*10%</f>
        <v>3800</v>
      </c>
      <c r="E3" s="9">
        <f t="shared" si="0"/>
        <v>5321.4</v>
      </c>
      <c r="F3" s="9">
        <f>IF(E3&gt;0,E3/(Расчёт!$I$7*B3),0)</f>
        <v>35.475999999999999</v>
      </c>
      <c r="G3" s="6">
        <v>1000</v>
      </c>
      <c r="H3" s="9">
        <f t="shared" si="1"/>
        <v>100</v>
      </c>
      <c r="I3" s="15">
        <f t="shared" si="2"/>
        <v>864.524</v>
      </c>
      <c r="J3" s="16">
        <v>1</v>
      </c>
    </row>
    <row r="4" spans="1:28" ht="15.75" customHeight="1" x14ac:dyDescent="0.2">
      <c r="A4" s="4" t="s">
        <v>28</v>
      </c>
      <c r="B4" s="5">
        <v>1</v>
      </c>
      <c r="C4" s="6">
        <v>1</v>
      </c>
      <c r="D4" s="9">
        <f>Расчёт!E20*10%</f>
        <v>1200</v>
      </c>
      <c r="E4" s="9">
        <f t="shared" si="0"/>
        <v>1681.3999999999999</v>
      </c>
      <c r="F4" s="9">
        <f>IF(E4&gt;0,E4/(Расчёт!$I$7*B4),0)</f>
        <v>11.209333333333332</v>
      </c>
      <c r="G4" s="6">
        <v>2000</v>
      </c>
      <c r="H4" s="9">
        <f t="shared" si="1"/>
        <v>200</v>
      </c>
      <c r="I4" s="15">
        <f t="shared" si="2"/>
        <v>1788.7906666666668</v>
      </c>
      <c r="J4" s="16">
        <v>2</v>
      </c>
    </row>
    <row r="5" spans="1:28" ht="15.75" customHeight="1" x14ac:dyDescent="0.2">
      <c r="A5" s="4" t="s">
        <v>31</v>
      </c>
      <c r="B5" s="5">
        <v>1</v>
      </c>
      <c r="C5" s="6">
        <v>20000</v>
      </c>
      <c r="D5" s="9">
        <f>Расчёт!E21*3%</f>
        <v>2940</v>
      </c>
      <c r="E5" s="9">
        <f t="shared" si="0"/>
        <v>32115.999999999996</v>
      </c>
      <c r="F5" s="9">
        <f>IF(E5&gt;0,E5/(Расчёт!$I$7*B5),0)</f>
        <v>214.10666666666665</v>
      </c>
      <c r="G5" s="24"/>
      <c r="H5" s="24"/>
      <c r="I5" s="25"/>
      <c r="J5" s="25"/>
    </row>
    <row r="6" spans="1:28" ht="15.75" customHeight="1" x14ac:dyDescent="0.2">
      <c r="C6" s="25"/>
      <c r="D6" s="25"/>
      <c r="E6" s="9">
        <f>SUM(E2:E5)</f>
        <v>80838.8</v>
      </c>
      <c r="F6" s="25"/>
      <c r="G6" s="25"/>
      <c r="H6" s="25"/>
      <c r="I6" s="25"/>
      <c r="J6" s="2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Расчёт</vt:lpstr>
      <vt:lpstr>Штат специалистов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Elena</cp:lastModifiedBy>
  <dcterms:created xsi:type="dcterms:W3CDTF">2020-01-24T11:13:11Z</dcterms:created>
  <dcterms:modified xsi:type="dcterms:W3CDTF">2023-02-21T05:32:49Z</dcterms:modified>
</cp:coreProperties>
</file>